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02. ORGANIZZAZIONI\02.01. COMPAGNIE\02.01.01. GRUPPO PROYTEC\GP-01. PROYTEC (PA)\P-PA-05. MODELLI ATTIVITA\P-PA-05.02. FINANZIAMENTO\13. Financing Calculator\"/>
    </mc:Choice>
  </mc:AlternateContent>
  <xr:revisionPtr revIDLastSave="0" documentId="13_ncr:1_{34B7C72B-5AC4-46EA-90F8-CD12F2011C5F}" xr6:coauthVersionLast="47" xr6:coauthVersionMax="47" xr10:uidLastSave="{00000000-0000-0000-0000-000000000000}"/>
  <workbookProtection workbookAlgorithmName="SHA-512" workbookHashValue="GxL3FkbYELmrHU2y88U846/q1u0KwEUupXPZcgODLawjQoqNOutHpno+nRUBApvqJzKMehxxGplmwxK7OqtQsA==" workbookSaltValue="Y7kN0XsKCD3VoUSIz2HVPQ==" workbookSpinCount="100000" lockStructure="1"/>
  <bookViews>
    <workbookView showHorizontalScroll="0" showSheetTabs="0" xWindow="-120" yWindow="-120" windowWidth="21840" windowHeight="13290" xr2:uid="{1485EC0C-C77C-4646-9975-CE3BAEFCD699}"/>
  </bookViews>
  <sheets>
    <sheet name="LOAN" sheetId="1" r:id="rId1"/>
    <sheet name="DATA" sheetId="2" state="hidden" r:id="rId2"/>
  </sheets>
  <definedNames>
    <definedName name="_xlnm.Print_Area" localSheetId="0">LOAN!$A$1:$P$57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8" i="1" l="1"/>
  <c r="F42" i="1"/>
  <c r="G42" i="1"/>
  <c r="J42" i="1"/>
  <c r="I42" i="1"/>
  <c r="M42" i="1"/>
  <c r="G53" i="1"/>
  <c r="G50" i="1"/>
  <c r="G40" i="1"/>
  <c r="G38" i="1"/>
  <c r="G10" i="2"/>
  <c r="L54" i="1"/>
  <c r="L53" i="1"/>
  <c r="L51" i="1"/>
  <c r="L50" i="1"/>
  <c r="N20" i="1"/>
  <c r="G34" i="1"/>
  <c r="D26" i="2"/>
  <c r="E26" i="2"/>
  <c r="E10" i="2"/>
  <c r="F10" i="2" s="1"/>
  <c r="F17" i="2" s="1"/>
  <c r="E17" i="2" s="1"/>
  <c r="F44" i="1" s="1"/>
  <c r="M44" i="1" s="1"/>
  <c r="G36" i="1"/>
  <c r="B8" i="2"/>
  <c r="C4" i="2" s="1"/>
  <c r="B7" i="2"/>
  <c r="O20" i="1"/>
  <c r="O19" i="1"/>
  <c r="M22" i="1"/>
  <c r="L23" i="1"/>
  <c r="L22" i="1"/>
  <c r="O12" i="1"/>
  <c r="M24" i="1" s="1"/>
  <c r="I23" i="1"/>
  <c r="G32" i="1"/>
  <c r="G24" i="1"/>
  <c r="F24" i="1"/>
  <c r="H23" i="1"/>
  <c r="G23" i="1"/>
  <c r="F23" i="1"/>
  <c r="G22" i="1"/>
  <c r="F22" i="1"/>
  <c r="G44" i="1" l="1"/>
  <c r="O42" i="1"/>
  <c r="F30" i="2"/>
  <c r="C2" i="2"/>
  <c r="M53" i="1"/>
  <c r="M50" i="1"/>
  <c r="I32" i="1"/>
  <c r="F31" i="2"/>
  <c r="F28" i="2"/>
  <c r="D23" i="2"/>
  <c r="F27" i="2"/>
  <c r="F26" i="2" s="1"/>
  <c r="H42" i="1" s="1"/>
  <c r="F29" i="2"/>
  <c r="G27" i="2"/>
  <c r="G29" i="2"/>
  <c r="G28" i="2"/>
  <c r="G30" i="2"/>
  <c r="G31" i="2"/>
  <c r="O18" i="1"/>
  <c r="K22" i="1"/>
  <c r="O22" i="1" s="1"/>
  <c r="M23" i="1"/>
  <c r="K24" i="1"/>
  <c r="O24" i="1" s="1"/>
  <c r="K42" i="1" l="1"/>
  <c r="G17" i="2"/>
  <c r="H31" i="2" s="1"/>
  <c r="G26" i="2"/>
  <c r="H44" i="1" s="1"/>
  <c r="K44" i="1" s="1"/>
  <c r="H27" i="2" l="1"/>
  <c r="H28" i="2"/>
  <c r="H30" i="2"/>
  <c r="H29" i="2"/>
  <c r="J44" i="1"/>
  <c r="H26" i="2" l="1"/>
  <c r="O44" i="1"/>
  <c r="O48" i="1" s="1"/>
  <c r="I44" i="1"/>
  <c r="O50" i="1" l="1"/>
  <c r="O53" i="1" l="1"/>
  <c r="N53" i="1" s="1"/>
  <c r="K23" i="1" l="1"/>
  <c r="O23" i="1" s="1"/>
  <c r="O28" i="1" s="1"/>
  <c r="O51" i="1" s="1"/>
  <c r="O54" i="1" l="1"/>
  <c r="M51" i="1"/>
  <c r="N50" i="1" s="1"/>
  <c r="M54" i="1"/>
  <c r="F34" i="1"/>
  <c r="N28" i="1"/>
  <c r="I34" i="1"/>
  <c r="N54" i="1" l="1"/>
  <c r="N51" i="1"/>
</calcChain>
</file>

<file path=xl/sharedStrings.xml><?xml version="1.0" encoding="utf-8"?>
<sst xmlns="http://schemas.openxmlformats.org/spreadsheetml/2006/main" count="31" uniqueCount="31">
  <si>
    <t xml:space="preserve">LOAN IN MILLIONS  (125.350.000 = 125,35)  </t>
  </si>
  <si>
    <t xml:space="preserve">DUE DILIGENCE  </t>
  </si>
  <si>
    <t xml:space="preserve">FEES  </t>
  </si>
  <si>
    <t xml:space="preserve">TOTAL COSTS  </t>
  </si>
  <si>
    <t xml:space="preserve">NET  </t>
  </si>
  <si>
    <t xml:space="preserve">NOMINAL ANNUAL INTEREST  </t>
  </si>
  <si>
    <t>DOLLAR</t>
  </si>
  <si>
    <t>EURO</t>
  </si>
  <si>
    <t xml:space="preserve">NOMINAL ANNUAL INTEREST ON NET  </t>
  </si>
  <si>
    <t xml:space="preserve">YEARS OF LOAN DURATION  </t>
  </si>
  <si>
    <t>DURATION</t>
  </si>
  <si>
    <t>GRACE PERIOD</t>
  </si>
  <si>
    <t>BALLOON</t>
  </si>
  <si>
    <t xml:space="preserve">MONTHS OF GRACE PERIOD  </t>
  </si>
  <si>
    <t xml:space="preserve">NUMBER OF INSTALLMENTS  </t>
  </si>
  <si>
    <t>INSTALLMENT</t>
  </si>
  <si>
    <t>MONTHLY</t>
  </si>
  <si>
    <t>BI MONTHLY</t>
  </si>
  <si>
    <t>QUARTERLY</t>
  </si>
  <si>
    <t>HALF YEARLY</t>
  </si>
  <si>
    <t>YEARLY</t>
  </si>
  <si>
    <t xml:space="preserve">YEARS OF REFUND  </t>
  </si>
  <si>
    <t>TOTAL REFUND</t>
  </si>
  <si>
    <t xml:space="preserve"> </t>
  </si>
  <si>
    <t>LOAN</t>
  </si>
  <si>
    <t xml:space="preserve">YEARS OF GRACE PERIOD  </t>
  </si>
  <si>
    <t xml:space="preserve">INDICATIVE EXAMPLE OF LOAN </t>
  </si>
  <si>
    <t>WITH FIXED INSTALLMENT AMORTIZATION</t>
  </si>
  <si>
    <t>(FRENCH SYSTEM)</t>
  </si>
  <si>
    <t xml:space="preserve">INSPECTION  </t>
  </si>
  <si>
    <t xml:space="preserve">HONORARIUM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</si>
</sst>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€&quot;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8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48">
    <xf numFmtId="0" fontId="0" fillId="0" borderId="0" xfId="0"/>
    <xf numFmtId="0" fontId="3" fillId="0" borderId="0" xfId="0" applyFont="1" applyAlignment="1">
      <alignment horizontal="right"/>
    </xf>
    <xf numFmtId="0" fontId="3" fillId="0" borderId="0" xfId="0" applyFont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5" xfId="0" applyBorder="1" applyAlignment="1">
      <alignment horizontal="center"/>
    </xf>
    <xf numFmtId="4" fontId="0" fillId="0" borderId="0" xfId="0" applyNumberFormat="1"/>
    <xf numFmtId="0" fontId="0" fillId="0" borderId="0" xfId="0" applyAlignment="1">
      <alignment horizontal="center"/>
    </xf>
    <xf numFmtId="10" fontId="0" fillId="0" borderId="0" xfId="0" applyNumberFormat="1"/>
    <xf numFmtId="4" fontId="0" fillId="0" borderId="6" xfId="0" applyNumberFormat="1" applyBorder="1"/>
    <xf numFmtId="10" fontId="0" fillId="0" borderId="1" xfId="0" applyNumberFormat="1" applyBorder="1"/>
    <xf numFmtId="0" fontId="3" fillId="0" borderId="0" xfId="1" applyFont="1" applyFill="1" applyBorder="1"/>
    <xf numFmtId="4" fontId="3" fillId="0" borderId="0" xfId="0" applyNumberFormat="1" applyFont="1"/>
    <xf numFmtId="0" fontId="2" fillId="0" borderId="0" xfId="0" applyFont="1"/>
    <xf numFmtId="0" fontId="3" fillId="0" borderId="0" xfId="0" applyFont="1" applyAlignment="1">
      <alignment horizontal="center"/>
    </xf>
    <xf numFmtId="4" fontId="3" fillId="0" borderId="0" xfId="0" applyNumberFormat="1" applyFont="1" applyAlignment="1">
      <alignment horizontal="center"/>
    </xf>
    <xf numFmtId="0" fontId="0" fillId="4" borderId="0" xfId="0" applyFill="1"/>
    <xf numFmtId="0" fontId="3" fillId="4" borderId="0" xfId="0" applyFont="1" applyFill="1" applyAlignment="1">
      <alignment horizontal="right"/>
    </xf>
    <xf numFmtId="0" fontId="3" fillId="4" borderId="0" xfId="0" applyFont="1" applyFill="1"/>
    <xf numFmtId="4" fontId="3" fillId="5" borderId="1" xfId="0" applyNumberFormat="1" applyFont="1" applyFill="1" applyBorder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10" fontId="0" fillId="0" borderId="0" xfId="0" applyNumberFormat="1" applyAlignment="1">
      <alignment horizontal="center"/>
    </xf>
    <xf numFmtId="10" fontId="3" fillId="5" borderId="1" xfId="0" applyNumberFormat="1" applyFont="1" applyFill="1" applyBorder="1" applyAlignment="1">
      <alignment horizontal="center"/>
    </xf>
    <xf numFmtId="10" fontId="0" fillId="0" borderId="1" xfId="0" applyNumberFormat="1" applyBorder="1" applyAlignment="1">
      <alignment horizontal="center"/>
    </xf>
    <xf numFmtId="0" fontId="6" fillId="0" borderId="0" xfId="0" applyFont="1" applyAlignment="1">
      <alignment horizontal="right"/>
    </xf>
    <xf numFmtId="0" fontId="3" fillId="2" borderId="1" xfId="1" applyFont="1" applyBorder="1" applyProtection="1">
      <protection locked="0"/>
    </xf>
    <xf numFmtId="0" fontId="0" fillId="3" borderId="1" xfId="0" applyFill="1" applyBorder="1" applyAlignment="1" applyProtection="1">
      <alignment horizontal="right"/>
      <protection locked="0"/>
    </xf>
    <xf numFmtId="10" fontId="3" fillId="2" borderId="1" xfId="1" applyNumberFormat="1" applyFont="1" applyBorder="1" applyProtection="1">
      <protection locked="0"/>
    </xf>
    <xf numFmtId="0" fontId="3" fillId="3" borderId="1" xfId="0" applyFont="1" applyFill="1" applyBorder="1" applyProtection="1">
      <protection locked="0"/>
    </xf>
    <xf numFmtId="0" fontId="3" fillId="3" borderId="1" xfId="0" applyFont="1" applyFill="1" applyBorder="1" applyAlignment="1" applyProtection="1">
      <alignment horizontal="right"/>
      <protection locked="0"/>
    </xf>
    <xf numFmtId="0" fontId="0" fillId="0" borderId="0" xfId="0" applyProtection="1">
      <protection locked="0"/>
    </xf>
    <xf numFmtId="4" fontId="0" fillId="0" borderId="0" xfId="0" applyNumberFormat="1" applyProtection="1">
      <protection locked="0"/>
    </xf>
    <xf numFmtId="164" fontId="0" fillId="0" borderId="0" xfId="0" applyNumberFormat="1" applyProtection="1">
      <protection locked="0"/>
    </xf>
    <xf numFmtId="0" fontId="3" fillId="0" borderId="0" xfId="0" applyFont="1" applyProtection="1">
      <protection locked="0"/>
    </xf>
    <xf numFmtId="0" fontId="0" fillId="0" borderId="0" xfId="0" applyAlignment="1" applyProtection="1">
      <alignment horizontal="right"/>
      <protection locked="0"/>
    </xf>
    <xf numFmtId="0" fontId="7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5" fillId="0" borderId="0" xfId="0" applyFont="1" applyAlignment="1">
      <alignment horizontal="center"/>
    </xf>
    <xf numFmtId="0" fontId="0" fillId="3" borderId="10" xfId="0" applyFill="1" applyBorder="1" applyProtection="1">
      <protection locked="0"/>
    </xf>
    <xf numFmtId="0" fontId="0" fillId="0" borderId="11" xfId="0" applyBorder="1" applyProtection="1">
      <protection locked="0"/>
    </xf>
  </cellXfs>
  <cellStyles count="2">
    <cellStyle name="20% - Colore 4" xfId="1" builtinId="42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114300</xdr:colOff>
      <xdr:row>0</xdr:row>
      <xdr:rowOff>95250</xdr:rowOff>
    </xdr:from>
    <xdr:to>
      <xdr:col>5</xdr:col>
      <xdr:colOff>695325</xdr:colOff>
      <xdr:row>7</xdr:row>
      <xdr:rowOff>28951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5BBDA9FB-8F14-46B1-8F07-A5A6986B88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95250"/>
          <a:ext cx="3133725" cy="11719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8B2B7C-4CEC-4A40-AD62-C1A2B22725E8}">
  <sheetPr>
    <outlinePr showOutlineSymbols="0"/>
  </sheetPr>
  <dimension ref="B1:O57"/>
  <sheetViews>
    <sheetView showGridLines="0" showRowColHeaders="0" showZeros="0" tabSelected="1" showOutlineSymbols="0" view="pageBreakPreview" zoomScale="106" zoomScaleNormal="100" zoomScaleSheetLayoutView="106" workbookViewId="0">
      <selection activeCell="F12" sqref="F12"/>
    </sheetView>
  </sheetViews>
  <sheetFormatPr defaultRowHeight="15" x14ac:dyDescent="0.25"/>
  <cols>
    <col min="1" max="1" width="2.7109375" customWidth="1"/>
    <col min="2" max="2" width="10.85546875" customWidth="1"/>
    <col min="6" max="6" width="12.28515625" customWidth="1"/>
    <col min="7" max="7" width="12.7109375" bestFit="1" customWidth="1"/>
    <col min="8" max="8" width="7.7109375" customWidth="1"/>
    <col min="9" max="9" width="15.42578125" bestFit="1" customWidth="1"/>
    <col min="10" max="10" width="3.42578125" bestFit="1" customWidth="1"/>
    <col min="11" max="11" width="16.28515625" customWidth="1"/>
    <col min="13" max="13" width="15.42578125" customWidth="1"/>
    <col min="15" max="15" width="15.42578125" bestFit="1" customWidth="1"/>
    <col min="16" max="16" width="2.7109375" customWidth="1"/>
  </cols>
  <sheetData>
    <row r="1" spans="2:15" ht="8.1" customHeight="1" x14ac:dyDescent="0.25"/>
    <row r="3" spans="2:15" ht="21" x14ac:dyDescent="0.35">
      <c r="G3" s="43" t="s">
        <v>26</v>
      </c>
      <c r="H3" s="43"/>
      <c r="I3" s="43"/>
      <c r="J3" s="43"/>
      <c r="K3" s="43"/>
      <c r="L3" s="43"/>
      <c r="M3" s="43"/>
      <c r="N3" s="43"/>
      <c r="O3" s="43"/>
    </row>
    <row r="4" spans="2:15" ht="6" customHeight="1" x14ac:dyDescent="0.25"/>
    <row r="5" spans="2:15" ht="21" x14ac:dyDescent="0.35">
      <c r="G5" s="43" t="s">
        <v>27</v>
      </c>
      <c r="H5" s="43"/>
      <c r="I5" s="43"/>
      <c r="J5" s="43"/>
      <c r="K5" s="43"/>
      <c r="L5" s="43"/>
      <c r="M5" s="43"/>
      <c r="N5" s="43"/>
      <c r="O5" s="43"/>
    </row>
    <row r="6" spans="2:15" ht="6" customHeight="1" x14ac:dyDescent="0.25"/>
    <row r="7" spans="2:15" ht="21" x14ac:dyDescent="0.35">
      <c r="G7" s="45" t="s">
        <v>28</v>
      </c>
      <c r="H7" s="43"/>
      <c r="I7" s="43"/>
      <c r="J7" s="43"/>
      <c r="K7" s="43"/>
      <c r="L7" s="43"/>
      <c r="M7" s="43"/>
      <c r="N7" s="43"/>
      <c r="O7" s="43"/>
    </row>
    <row r="8" spans="2:15" ht="6" customHeight="1" x14ac:dyDescent="0.35">
      <c r="G8" s="27"/>
      <c r="H8" s="26"/>
      <c r="I8" s="26"/>
      <c r="J8" s="26"/>
      <c r="K8" s="26"/>
      <c r="L8" s="26"/>
      <c r="M8" s="26"/>
      <c r="N8" s="26"/>
      <c r="O8" s="26"/>
    </row>
    <row r="9" spans="2:15" ht="3.95" customHeight="1" x14ac:dyDescent="0.25"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</row>
    <row r="10" spans="2:15" ht="6" customHeight="1" x14ac:dyDescent="0.35">
      <c r="G10" s="27"/>
      <c r="H10" s="26"/>
      <c r="I10" s="26"/>
      <c r="J10" s="26"/>
      <c r="K10" s="26"/>
      <c r="L10" s="26"/>
      <c r="M10" s="26"/>
      <c r="N10" s="26"/>
      <c r="O10" s="26"/>
    </row>
    <row r="11" spans="2:15" ht="6" customHeight="1" x14ac:dyDescent="0.25"/>
    <row r="12" spans="2:15" x14ac:dyDescent="0.25">
      <c r="E12" s="1" t="s">
        <v>0</v>
      </c>
      <c r="F12" s="32"/>
      <c r="O12" s="25" t="str">
        <f>IF(F12="","",F12*1000000)</f>
        <v/>
      </c>
    </row>
    <row r="13" spans="2:15" ht="8.1" customHeight="1" x14ac:dyDescent="0.25">
      <c r="E13" s="1"/>
      <c r="F13" s="17"/>
      <c r="O13" s="18"/>
    </row>
    <row r="14" spans="2:15" x14ac:dyDescent="0.25">
      <c r="E14" s="1"/>
      <c r="F14" s="33"/>
      <c r="O14" s="18"/>
    </row>
    <row r="15" spans="2:15" ht="8.1" customHeight="1" x14ac:dyDescent="0.25">
      <c r="E15" s="1"/>
      <c r="F15" s="17"/>
      <c r="O15" s="18"/>
    </row>
    <row r="16" spans="2:15" x14ac:dyDescent="0.25">
      <c r="E16" s="1"/>
      <c r="F16" s="46"/>
      <c r="G16" s="47"/>
      <c r="O16" s="18"/>
    </row>
    <row r="17" spans="2:15" ht="8.1" customHeight="1" x14ac:dyDescent="0.25"/>
    <row r="18" spans="2:15" x14ac:dyDescent="0.25">
      <c r="E18" s="1" t="s">
        <v>30</v>
      </c>
      <c r="F18" s="3"/>
      <c r="G18" s="4"/>
      <c r="H18" s="4"/>
      <c r="I18" s="4"/>
      <c r="J18" s="4"/>
      <c r="K18" s="4"/>
      <c r="L18" s="4"/>
      <c r="M18" s="4"/>
      <c r="N18" s="4"/>
      <c r="O18" s="5" t="str">
        <f>IF(F12="","",IF(F14="","",IF(F14=DATA!B4,DATA!C4,DATA!C5)))</f>
        <v/>
      </c>
    </row>
    <row r="19" spans="2:15" x14ac:dyDescent="0.25">
      <c r="E19" s="1" t="s">
        <v>1</v>
      </c>
      <c r="F19" s="6"/>
      <c r="O19" s="7" t="str">
        <f>IF(F12="","",IF(F14="","",IF(F14=DATA!B4,DATA!D4,DATA!D5)))</f>
        <v/>
      </c>
    </row>
    <row r="20" spans="2:15" x14ac:dyDescent="0.25">
      <c r="E20" s="1" t="s">
        <v>29</v>
      </c>
      <c r="F20" s="6"/>
      <c r="N20" s="31" t="str">
        <f>IF(F12="","","approximately")</f>
        <v/>
      </c>
      <c r="O20" s="7" t="str">
        <f>IF(F12="","",IF(F14="","",IF(F14=DATA!B4,DATA!E4,DATA!E5)))</f>
        <v/>
      </c>
    </row>
    <row r="21" spans="2:15" ht="8.1" customHeight="1" x14ac:dyDescent="0.25">
      <c r="E21" s="1"/>
      <c r="F21" s="6"/>
      <c r="O21" s="7"/>
    </row>
    <row r="22" spans="2:15" x14ac:dyDescent="0.25">
      <c r="E22" s="1" t="s">
        <v>2</v>
      </c>
      <c r="F22" s="11" t="str">
        <f>IF(F12="","","UP TO")</f>
        <v/>
      </c>
      <c r="G22" s="12" t="str">
        <f>IF(F12="","",10000000)</f>
        <v/>
      </c>
      <c r="K22" s="14" t="str">
        <f>IF(M22="","",6%)</f>
        <v/>
      </c>
      <c r="L22" s="13" t="str">
        <f>IF(F12="","","ON")</f>
        <v/>
      </c>
      <c r="M22" s="12" t="str">
        <f>IF(F12="","",IF(F12&gt;10,10000000,F12*1000000))</f>
        <v/>
      </c>
      <c r="O22" s="15" t="str">
        <f>IF(F12="","",M22*K22)</f>
        <v/>
      </c>
    </row>
    <row r="23" spans="2:15" x14ac:dyDescent="0.25">
      <c r="E23" s="1"/>
      <c r="F23" s="11" t="str">
        <f>IF(F12="","",IF(F12&gt;10,"FROM",""))</f>
        <v/>
      </c>
      <c r="G23" s="12" t="str">
        <f>IF(F12="","",IF(F12&gt;10,10000000,""))</f>
        <v/>
      </c>
      <c r="H23" s="13" t="str">
        <f>IF(F12="","",IF(F12&gt;10,"UP TO",""))</f>
        <v/>
      </c>
      <c r="I23" s="12" t="str">
        <f>IF(F12="","",IF(F12&gt;10,50000000,""))</f>
        <v/>
      </c>
      <c r="K23" s="14" t="str">
        <f>IF(M23="","",5%)</f>
        <v/>
      </c>
      <c r="L23" s="13" t="str">
        <f>IF(F12="","",IF(F12&gt;10,"ON",""))</f>
        <v/>
      </c>
      <c r="M23" s="12" t="str">
        <f>IF(F12="","",IF(F12&gt;10,IF(F12&gt;50,40000000,O12-M22),""))</f>
        <v/>
      </c>
      <c r="O23" s="15" t="str">
        <f>IF(M23="","",M23*K23)</f>
        <v/>
      </c>
    </row>
    <row r="24" spans="2:15" x14ac:dyDescent="0.25">
      <c r="E24" s="1"/>
      <c r="F24" s="11" t="str">
        <f>IF(F12="","",IF(F12&gt;50,"FROM",""))</f>
        <v/>
      </c>
      <c r="G24" s="12" t="str">
        <f>IF(F12="","",IF(F12&gt;50,50000000,""))</f>
        <v/>
      </c>
      <c r="H24" s="13"/>
      <c r="I24" s="12"/>
      <c r="K24" s="14" t="str">
        <f>IF(M24="","",4%)</f>
        <v/>
      </c>
      <c r="M24" s="12" t="str">
        <f>IF(F12="","",IF(F12&gt;50,O12-50000000,""))</f>
        <v/>
      </c>
      <c r="O24" s="15" t="str">
        <f>IF(M24="","",M24*K24)</f>
        <v/>
      </c>
    </row>
    <row r="25" spans="2:15" ht="8.1" customHeight="1" x14ac:dyDescent="0.25">
      <c r="F25" s="6"/>
      <c r="O25" s="7"/>
    </row>
    <row r="26" spans="2:15" x14ac:dyDescent="0.25">
      <c r="E26" s="1" t="s">
        <v>3</v>
      </c>
      <c r="F26" s="8"/>
      <c r="G26" s="9"/>
      <c r="H26" s="9"/>
      <c r="I26" s="9"/>
      <c r="J26" s="9"/>
      <c r="K26" s="9"/>
      <c r="L26" s="9"/>
      <c r="M26" s="9"/>
      <c r="N26" s="9"/>
      <c r="O26" s="10"/>
    </row>
    <row r="27" spans="2:15" ht="8.1" customHeight="1" x14ac:dyDescent="0.25"/>
    <row r="28" spans="2:15" x14ac:dyDescent="0.25">
      <c r="E28" s="1" t="s">
        <v>4</v>
      </c>
      <c r="N28" s="28" t="str">
        <f>IF(F12="","",O28/O12)</f>
        <v/>
      </c>
      <c r="O28" s="25" t="str">
        <f>IF(F12="","",O12-(SUM(O18:O20)+SUM(O22:O24)))</f>
        <v/>
      </c>
    </row>
    <row r="29" spans="2:15" ht="6" customHeight="1" x14ac:dyDescent="0.25"/>
    <row r="30" spans="2:15" ht="3.95" customHeight="1" x14ac:dyDescent="0.25"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</row>
    <row r="31" spans="2:15" ht="6" customHeight="1" x14ac:dyDescent="0.25"/>
    <row r="32" spans="2:15" x14ac:dyDescent="0.25">
      <c r="E32" s="1" t="s">
        <v>5</v>
      </c>
      <c r="F32" s="34"/>
      <c r="G32" t="str">
        <f>"(2)"&amp;"           "&amp;IF(F12="","",IF(F32="","","ON"))</f>
        <v xml:space="preserve">(2)           </v>
      </c>
      <c r="I32" s="12" t="str">
        <f>IF(F12="","",IF(F32="","",O12))</f>
        <v/>
      </c>
    </row>
    <row r="33" spans="2:15" ht="8.1" customHeight="1" x14ac:dyDescent="0.25"/>
    <row r="34" spans="2:15" x14ac:dyDescent="0.25">
      <c r="E34" s="1" t="s">
        <v>8</v>
      </c>
      <c r="F34" s="16" t="str">
        <f>IF(F12="","",IF(F32="","",O12/O28*F32))</f>
        <v/>
      </c>
      <c r="G34" t="str">
        <f>"                 "&amp;IF(F12="","",IF(F32="","","ON"))</f>
        <v xml:space="preserve">                 </v>
      </c>
      <c r="I34" s="12" t="str">
        <f>IF(F12="","",IF(F32="","",O28))</f>
        <v/>
      </c>
    </row>
    <row r="35" spans="2:15" ht="8.1" customHeight="1" x14ac:dyDescent="0.25"/>
    <row r="36" spans="2:15" x14ac:dyDescent="0.25">
      <c r="E36" s="1" t="s">
        <v>9</v>
      </c>
      <c r="F36" s="35"/>
      <c r="G36" t="str">
        <f>"(3)"</f>
        <v>(3)</v>
      </c>
      <c r="K36" s="12"/>
    </row>
    <row r="37" spans="2:15" ht="8.1" customHeight="1" x14ac:dyDescent="0.25"/>
    <row r="38" spans="2:15" x14ac:dyDescent="0.25">
      <c r="E38" s="1" t="s">
        <v>14</v>
      </c>
      <c r="F38" s="36"/>
      <c r="G38" t="str">
        <f>"(4)"</f>
        <v>(4)</v>
      </c>
      <c r="H38" s="42" t="str">
        <f>IF(F12="","",IF(F32="","",IF(F36="","",IF(F38="","",IF(F40="","",IF(F38=DATA!C27,12,IF(F38=DATA!C28,6,IF(F38=DATA!C29,4,IF(F38=DATA!C30,2,IF(F38=DATA!C31,1))))))))))</f>
        <v/>
      </c>
    </row>
    <row r="39" spans="2:15" ht="8.1" customHeight="1" x14ac:dyDescent="0.25"/>
    <row r="40" spans="2:15" x14ac:dyDescent="0.25">
      <c r="E40" s="1" t="s">
        <v>13</v>
      </c>
      <c r="F40" s="36"/>
      <c r="G40" t="str">
        <f>"(5)"</f>
        <v>(5)</v>
      </c>
      <c r="H40" s="19"/>
      <c r="K40" s="12"/>
    </row>
    <row r="41" spans="2:15" ht="8.1" customHeight="1" x14ac:dyDescent="0.25"/>
    <row r="42" spans="2:15" x14ac:dyDescent="0.25">
      <c r="E42" s="1" t="s">
        <v>25</v>
      </c>
      <c r="F42" s="2" t="str">
        <f>IF(F12="","",IF(F32="","",IF(F36="","",IF(F38="","",IF(F40="","",IF(F40="BALLOON",F36,F40/12))))))</f>
        <v/>
      </c>
      <c r="G42" t="str">
        <f>IF(F12="","",IF(F32="","",IF(F36="","",IF(F38="","",IF(F40="","","            WITH")))))</f>
        <v/>
      </c>
      <c r="H42" s="20" t="str">
        <f>IF(F12="","",IF(F32="","",IF(F36="","",IF(F38="","",IF(F40="","",IF(F40="BALLOON",DATA!F26,H38*F42))))))</f>
        <v/>
      </c>
      <c r="I42" s="1" t="str">
        <f>IF(F12="","",IF(F32="","",IF(F36="","",IF(F38="","",IF(F40="","","INSTALLMENTS  ")))))</f>
        <v/>
      </c>
      <c r="J42" s="2" t="str">
        <f>IF(F12="","",IF(F32="","",IF(F36="","",IF(F38="","",IF(F40="","","OF")))))</f>
        <v/>
      </c>
      <c r="K42" s="25" t="str">
        <f>IF(F12="","",IF(F32="","",IF(F36="","",IF(F38="","",IF(F40="","",IF(F40="BALLOON",I32*F32/DATA!D26,IF(H42=0.5,O42,O42/H42)))))))</f>
        <v/>
      </c>
      <c r="M42" s="20" t="str">
        <f>IF(F12="","",IF(F32="","",IF(F36="","",IF(F38="","",IF(F40="","","IN THE GRACE PERIOD  ")))))</f>
        <v/>
      </c>
      <c r="O42" s="25" t="str">
        <f>IF(F12="","",IF(F32="","",IF(F36="","",IF(F38="","",IF(F40="","",O12*F32*F42)))))</f>
        <v/>
      </c>
    </row>
    <row r="43" spans="2:15" ht="8.1" customHeight="1" x14ac:dyDescent="0.25"/>
    <row r="44" spans="2:15" x14ac:dyDescent="0.25">
      <c r="E44" s="1" t="s">
        <v>21</v>
      </c>
      <c r="F44" s="2" t="str">
        <f>IF(F12="","",IF(F32="","",IF(F36="","",IF(F38="","",IF(F40="BALLOON",1,IF(DATA!E10-DATA!E17=0,"",DATA!E10-DATA!E17))))))</f>
        <v/>
      </c>
      <c r="G44" t="str">
        <f>IF(F12="","",IF(F38="","",IF(F40="BALLOON","",IF(F44="","","            WITH"))))</f>
        <v/>
      </c>
      <c r="H44" s="20" t="str">
        <f>IF(F12="","",IF(F38="","",IF(F40="BALLOON",1,IF(F44="","",IF(DATA!E10=0,"",DATA!G26)))))</f>
        <v/>
      </c>
      <c r="I44" s="21" t="str">
        <f>IF(F12="","",IF(F38="","",IF(H44="","","INSTALLMENTS")))</f>
        <v/>
      </c>
      <c r="J44" s="2" t="str">
        <f>IF(F12="","",IF(F38="","",IF(F44="","","OF")))</f>
        <v/>
      </c>
      <c r="K44" s="25" t="str">
        <f>IF(F12="","",IF(F32="","",IF(F36="","",IF(F38="","",IF(F40="BALLOON",O12,PMT(F32/DATA!D26,H44,-O12))))))</f>
        <v/>
      </c>
      <c r="M44" s="20" t="str">
        <f>IF(F12="","",IF(F38="","",IF(F40="BALLOON","",IF(F44="","","IN THE REFUND PERIOD"))))</f>
        <v/>
      </c>
      <c r="O44" s="25" t="str">
        <f>IF(F12="","",IF(F32="","",IF(F38="","",IF(F44="","",K44*H44))))</f>
        <v/>
      </c>
    </row>
    <row r="45" spans="2:15" ht="6" customHeight="1" x14ac:dyDescent="0.25"/>
    <row r="46" spans="2:15" ht="3.95" customHeight="1" x14ac:dyDescent="0.25">
      <c r="B46" s="22"/>
      <c r="C46" s="22"/>
      <c r="D46" s="22"/>
      <c r="E46" s="23"/>
      <c r="F46" s="24"/>
      <c r="G46" s="22"/>
      <c r="H46" s="22"/>
      <c r="I46" s="22"/>
      <c r="J46" s="22"/>
      <c r="K46" s="22"/>
      <c r="L46" s="22"/>
      <c r="M46" s="22"/>
      <c r="N46" s="22"/>
      <c r="O46" s="22"/>
    </row>
    <row r="47" spans="2:15" ht="6" customHeight="1" x14ac:dyDescent="0.25"/>
    <row r="48" spans="2:15" x14ac:dyDescent="0.25">
      <c r="K48" s="1" t="s">
        <v>22</v>
      </c>
      <c r="O48" s="25" t="str">
        <f>IF(F12="","",IF(F32="","",IF(F36="","",IF(F38="","",IF(F40="",O44,O42+O44)))))</f>
        <v/>
      </c>
    </row>
    <row r="49" spans="2:15" ht="8.1" customHeight="1" x14ac:dyDescent="0.25"/>
    <row r="50" spans="2:15" x14ac:dyDescent="0.25">
      <c r="G50" s="44" t="str">
        <f>IF(F36="","REAL TOTAL INTEREST IN THE  "&amp;E36,"REAL TOTAL INTEREST IN THE  "&amp;F36&amp;"  YEARS")</f>
        <v xml:space="preserve">REAL TOTAL INTEREST IN THE  YEARS OF LOAN DURATION  </v>
      </c>
      <c r="H50" s="44"/>
      <c r="I50" s="44"/>
      <c r="J50" s="44"/>
      <c r="K50" s="44"/>
      <c r="L50" s="20" t="str">
        <f>IF(F12="","","ON")</f>
        <v/>
      </c>
      <c r="M50" s="12" t="str">
        <f>O12</f>
        <v/>
      </c>
      <c r="N50" s="28" t="str">
        <f>IF(F12="","",IF(F32="","",IF(F36="","",IF(F38="","",O50/M51))))</f>
        <v/>
      </c>
      <c r="O50" s="12" t="str">
        <f>IF(F12="","",IF(F32="","",IF(F36="","",IF(F38="","",O48-O12))))</f>
        <v/>
      </c>
    </row>
    <row r="51" spans="2:15" x14ac:dyDescent="0.25">
      <c r="G51" s="44"/>
      <c r="H51" s="44"/>
      <c r="I51" s="44"/>
      <c r="J51" s="44"/>
      <c r="K51" s="44"/>
      <c r="L51" s="20" t="str">
        <f>IF(F12="","","ON")</f>
        <v/>
      </c>
      <c r="M51" s="12" t="str">
        <f>O28</f>
        <v/>
      </c>
      <c r="N51" s="28" t="str">
        <f>IF(F12="","",IF(F32="","",IF(F36="","",IF(F38="","",O51/M51))))</f>
        <v/>
      </c>
      <c r="O51" s="12" t="str">
        <f>IF(F12="","",IF(F32="","",IF(F36="","",IF(F38="","",O48-O28))))</f>
        <v/>
      </c>
    </row>
    <row r="52" spans="2:15" ht="8.1" customHeight="1" x14ac:dyDescent="0.25">
      <c r="N52" s="13"/>
    </row>
    <row r="53" spans="2:15" x14ac:dyDescent="0.25">
      <c r="G53" s="44" t="str">
        <f>IF(F36="","REAL ANNUAL INTEREST IN THE  "&amp;E36,"REAL ANNUAL INTEREST IN THE  "&amp; F36 &amp;"  YEARS")</f>
        <v xml:space="preserve">REAL ANNUAL INTEREST IN THE  YEARS OF LOAN DURATION  </v>
      </c>
      <c r="H53" s="44"/>
      <c r="I53" s="44"/>
      <c r="J53" s="44"/>
      <c r="K53" s="44"/>
      <c r="L53" s="20" t="str">
        <f>IF(F12="","","ON")</f>
        <v/>
      </c>
      <c r="M53" s="12" t="str">
        <f>O12</f>
        <v/>
      </c>
      <c r="N53" s="29" t="str">
        <f>IF(F12="","",IF(F32="","",IF(F36="","",IF(F38="","",O53/M53))))</f>
        <v/>
      </c>
      <c r="O53" s="12" t="str">
        <f>IF(F12="","",IF(F32="","",IF(F36="","",IF(F38="","",O50/F36))))</f>
        <v/>
      </c>
    </row>
    <row r="54" spans="2:15" x14ac:dyDescent="0.25">
      <c r="G54" s="44"/>
      <c r="H54" s="44"/>
      <c r="I54" s="44"/>
      <c r="J54" s="44"/>
      <c r="K54" s="44"/>
      <c r="L54" s="20" t="str">
        <f>IF(F12="","","ON")</f>
        <v/>
      </c>
      <c r="M54" s="12" t="str">
        <f>O28</f>
        <v/>
      </c>
      <c r="N54" s="30" t="str">
        <f>IF(F12="","",IF(F32="","",IF(F36="","",IF(F38="","",O54/M54))))</f>
        <v/>
      </c>
      <c r="O54" s="12" t="str">
        <f>IF(F12="","",IF(F32="","",IF(F36="","",IF(F38="","",O51/F36))))</f>
        <v/>
      </c>
    </row>
    <row r="55" spans="2:15" ht="6" customHeight="1" x14ac:dyDescent="0.25"/>
    <row r="56" spans="2:15" ht="3.95" customHeight="1" x14ac:dyDescent="0.25">
      <c r="B56" s="22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</row>
    <row r="57" spans="2:15" ht="6" customHeight="1" x14ac:dyDescent="0.25"/>
  </sheetData>
  <sheetProtection algorithmName="SHA-512" hashValue="G5wRsrNNtxEGMlixNSjqmeBfsrSpLivTQ7yngvq63lyK++bgQ3RFGGh/BOI1DRLoufYQ98ly3+4FCxHvbjVW5A==" saltValue="zui6n3sMkuf02GuLw4pC6Q==" spinCount="100000" sheet="1" objects="1" scenarios="1" selectLockedCells="1"/>
  <mergeCells count="6">
    <mergeCell ref="G5:O5"/>
    <mergeCell ref="G50:K51"/>
    <mergeCell ref="G53:K54"/>
    <mergeCell ref="G3:O3"/>
    <mergeCell ref="G7:O7"/>
    <mergeCell ref="F16:G16"/>
  </mergeCells>
  <pageMargins left="0" right="0" top="0.23622047244094491" bottom="0.15748031496062992" header="0.31496062992125984" footer="0.31496062992125984"/>
  <pageSetup paperSize="9" scale="93" orientation="landscape" horizontalDpi="1200" verticalDpi="12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E420AA92-83F6-405F-9ADC-91B911B04301}">
          <x14:formula1>
            <xm:f>DATA!$B$3:$B$5</xm:f>
          </x14:formula1>
          <xm:sqref>H13:H16</xm:sqref>
        </x14:dataValidation>
        <x14:dataValidation type="list" allowBlank="1" showInputMessage="1" showErrorMessage="1" xr:uid="{93F16AAA-A5ED-486C-BA69-AD2F27C7DEE2}">
          <x14:formula1>
            <xm:f>DATA!$B$6:$B$7</xm:f>
          </x14:formula1>
          <xm:sqref>F16 J15 J13</xm:sqref>
        </x14:dataValidation>
        <x14:dataValidation type="list" allowBlank="1" showInputMessage="1" showErrorMessage="1" xr:uid="{2A14D51E-EF5C-4E8B-9696-00D1D88312EC}">
          <x14:formula1>
            <xm:f>DATA!$C$10:$C$15</xm:f>
          </x14:formula1>
          <xm:sqref>F36</xm:sqref>
        </x14:dataValidation>
        <x14:dataValidation type="list" showInputMessage="1" showErrorMessage="1" xr:uid="{89BF9625-75FF-4B30-BA5D-F5272743A0D6}">
          <x14:formula1>
            <xm:f>DATA!$C$26:$C$31</xm:f>
          </x14:formula1>
          <xm:sqref>F38</xm:sqref>
        </x14:dataValidation>
        <x14:dataValidation type="list" showInputMessage="1" showErrorMessage="1" xr:uid="{88526D29-0EBA-4A03-B506-5170ABC11BA9}">
          <x14:formula1>
            <xm:f>DATA!$B$3:$B$5</xm:f>
          </x14:formula1>
          <xm:sqref>F14</xm:sqref>
        </x14:dataValidation>
        <x14:dataValidation type="list" allowBlank="1" showInputMessage="1" showErrorMessage="1" xr:uid="{C9172CCA-3D71-447A-844B-CF7AD21382EC}">
          <x14:formula1>
            <xm:f>DATA!$C$17:$C$23</xm:f>
          </x14:formula1>
          <xm:sqref>F40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2A25BE-582F-4064-BFCA-0C736B5FB6C8}">
  <dimension ref="A1:I32"/>
  <sheetViews>
    <sheetView topLeftCell="A7" workbookViewId="0">
      <selection activeCell="I19" sqref="I19"/>
    </sheetView>
  </sheetViews>
  <sheetFormatPr defaultRowHeight="15" x14ac:dyDescent="0.25"/>
  <cols>
    <col min="2" max="2" width="16.140625" bestFit="1" customWidth="1"/>
    <col min="3" max="3" width="12.7109375" bestFit="1" customWidth="1"/>
    <col min="6" max="6" width="9.7109375" bestFit="1" customWidth="1"/>
  </cols>
  <sheetData>
    <row r="1" spans="1:9" x14ac:dyDescent="0.25">
      <c r="A1" s="37"/>
      <c r="B1" s="37"/>
      <c r="C1" s="37"/>
      <c r="D1" s="37"/>
      <c r="E1" s="37"/>
      <c r="F1" s="37"/>
      <c r="G1" s="37"/>
      <c r="H1" s="37"/>
      <c r="I1" s="37"/>
    </row>
    <row r="2" spans="1:9" x14ac:dyDescent="0.25">
      <c r="A2" s="37"/>
      <c r="B2" s="37" t="s">
        <v>24</v>
      </c>
      <c r="C2" s="38" t="str">
        <f>LOAN!O12</f>
        <v/>
      </c>
      <c r="D2" s="37"/>
      <c r="E2" s="37"/>
      <c r="F2" s="37"/>
      <c r="G2" s="37"/>
      <c r="H2" s="37"/>
      <c r="I2" s="37"/>
    </row>
    <row r="3" spans="1:9" x14ac:dyDescent="0.25">
      <c r="A3" s="37"/>
      <c r="B3" s="37" t="s">
        <v>23</v>
      </c>
      <c r="C3" s="37"/>
      <c r="D3" s="37"/>
      <c r="E3" s="37"/>
      <c r="F3" s="37"/>
      <c r="G3" s="37"/>
      <c r="H3" s="37"/>
      <c r="I3" s="37"/>
    </row>
    <row r="4" spans="1:9" x14ac:dyDescent="0.25">
      <c r="A4" s="37"/>
      <c r="B4" s="39" t="s">
        <v>6</v>
      </c>
      <c r="C4" s="37">
        <f>IF(B8=0,15000,12000)</f>
        <v>15000</v>
      </c>
      <c r="D4" s="37">
        <v>23000</v>
      </c>
      <c r="E4" s="37">
        <v>20000</v>
      </c>
      <c r="F4" s="37"/>
      <c r="G4" s="37"/>
      <c r="H4" s="37"/>
      <c r="I4" s="37"/>
    </row>
    <row r="5" spans="1:9" x14ac:dyDescent="0.25">
      <c r="A5" s="37"/>
      <c r="B5" s="37" t="s">
        <v>7</v>
      </c>
      <c r="C5" s="37">
        <v>13500</v>
      </c>
      <c r="D5" s="37">
        <v>20000</v>
      </c>
      <c r="E5" s="37">
        <v>18000</v>
      </c>
      <c r="F5" s="37"/>
      <c r="G5" s="37"/>
      <c r="H5" s="37"/>
      <c r="I5" s="37"/>
    </row>
    <row r="6" spans="1:9" x14ac:dyDescent="0.25">
      <c r="A6" s="37"/>
      <c r="B6" s="37"/>
      <c r="C6" s="37"/>
      <c r="D6" s="37"/>
      <c r="E6" s="37"/>
      <c r="F6" s="37"/>
      <c r="G6" s="37"/>
      <c r="H6" s="37"/>
      <c r="I6" s="37"/>
    </row>
    <row r="7" spans="1:9" x14ac:dyDescent="0.25">
      <c r="A7" s="37"/>
      <c r="B7" s="37" t="str">
        <f>IF(LOAN!F14=DATA!B4,"LATAM / AFRICA","")</f>
        <v/>
      </c>
      <c r="C7" s="37"/>
      <c r="D7" s="37"/>
      <c r="E7" s="37"/>
      <c r="F7" s="37"/>
      <c r="G7" s="37"/>
      <c r="H7" s="37"/>
      <c r="I7" s="37"/>
    </row>
    <row r="8" spans="1:9" x14ac:dyDescent="0.25">
      <c r="A8" s="37"/>
      <c r="B8" s="37">
        <f>LOAN!F16</f>
        <v>0</v>
      </c>
      <c r="C8" s="37"/>
      <c r="D8" s="37"/>
      <c r="E8" s="37"/>
      <c r="F8" s="37"/>
      <c r="G8" s="37"/>
      <c r="H8" s="37"/>
      <c r="I8" s="37"/>
    </row>
    <row r="9" spans="1:9" x14ac:dyDescent="0.25">
      <c r="A9" s="37"/>
      <c r="B9" s="37"/>
      <c r="C9" s="37"/>
      <c r="D9" s="37"/>
      <c r="E9" s="37"/>
      <c r="F9" s="37"/>
      <c r="G9" s="37"/>
      <c r="H9" s="37"/>
      <c r="I9" s="37"/>
    </row>
    <row r="10" spans="1:9" x14ac:dyDescent="0.25">
      <c r="A10" s="37"/>
      <c r="B10" s="37" t="s">
        <v>10</v>
      </c>
      <c r="C10" s="37"/>
      <c r="D10" s="37"/>
      <c r="E10" s="40">
        <f>LOAN!F36</f>
        <v>0</v>
      </c>
      <c r="F10" s="37">
        <f>E10*12</f>
        <v>0</v>
      </c>
      <c r="G10" s="37" t="str">
        <f>IF(LOAN!F36="","",IF(LOAN!F36=DATA!C11,DATA!C11*12,IF(LOAN!F36=DATA!C12,DATA!C12*12,IF(LOAN!F36=DATA!C13,DATA!C13*12,IF(LOAN!F36=DATA!C14,DATA!C14*12,IF(LOAN!F36=DATA!C15,DATA!C15*12))))))</f>
        <v/>
      </c>
      <c r="H10" s="37"/>
      <c r="I10" s="37"/>
    </row>
    <row r="11" spans="1:9" x14ac:dyDescent="0.25">
      <c r="A11" s="37"/>
      <c r="B11" s="37"/>
      <c r="C11" s="37">
        <v>5</v>
      </c>
      <c r="D11" s="37"/>
      <c r="E11" s="37"/>
      <c r="F11" s="37"/>
      <c r="G11" s="37"/>
      <c r="H11" s="37"/>
      <c r="I11" s="37"/>
    </row>
    <row r="12" spans="1:9" x14ac:dyDescent="0.25">
      <c r="A12" s="37"/>
      <c r="B12" s="37"/>
      <c r="C12" s="37">
        <v>7</v>
      </c>
      <c r="D12" s="37"/>
      <c r="E12" s="37"/>
      <c r="F12" s="37"/>
      <c r="G12" s="37"/>
      <c r="H12" s="37"/>
      <c r="I12" s="37"/>
    </row>
    <row r="13" spans="1:9" x14ac:dyDescent="0.25">
      <c r="A13" s="37"/>
      <c r="B13" s="37"/>
      <c r="C13" s="37">
        <v>10</v>
      </c>
      <c r="D13" s="37"/>
      <c r="E13" s="37"/>
      <c r="F13" s="37"/>
      <c r="G13" s="37"/>
      <c r="H13" s="37"/>
      <c r="I13" s="37"/>
    </row>
    <row r="14" spans="1:9" x14ac:dyDescent="0.25">
      <c r="A14" s="37"/>
      <c r="B14" s="37"/>
      <c r="C14" s="37">
        <v>15</v>
      </c>
      <c r="D14" s="37"/>
      <c r="E14" s="37"/>
      <c r="F14" s="37"/>
      <c r="G14" s="37"/>
      <c r="H14" s="37"/>
      <c r="I14" s="37"/>
    </row>
    <row r="15" spans="1:9" x14ac:dyDescent="0.25">
      <c r="A15" s="37"/>
      <c r="B15" s="37"/>
      <c r="C15" s="37">
        <v>20</v>
      </c>
      <c r="D15" s="37"/>
      <c r="E15" s="37"/>
      <c r="F15" s="37"/>
      <c r="G15" s="37"/>
      <c r="H15" s="37"/>
      <c r="I15" s="37"/>
    </row>
    <row r="16" spans="1:9" x14ac:dyDescent="0.25">
      <c r="A16" s="37"/>
      <c r="B16" s="37"/>
      <c r="C16" s="37"/>
      <c r="D16" s="37"/>
      <c r="E16" s="37"/>
      <c r="F16" s="37"/>
      <c r="G16" s="37"/>
      <c r="H16" s="37"/>
      <c r="I16" s="37"/>
    </row>
    <row r="17" spans="1:9" x14ac:dyDescent="0.25">
      <c r="A17" s="37"/>
      <c r="B17" s="37" t="s">
        <v>11</v>
      </c>
      <c r="C17" s="37"/>
      <c r="D17" s="37"/>
      <c r="E17" s="37">
        <f>IF(F17=C18,D18,IF(F17=C19,D19,IF(F17=C20,D20,IF(F17=C21,D21,IF(F17=C22,D22,IF(F17=C23,D23,))))))</f>
        <v>0</v>
      </c>
      <c r="F17" s="40">
        <f>IF(LOAN!F40=DATA!C23,DATA!F10,LOAN!F40)</f>
        <v>0</v>
      </c>
      <c r="G17" s="37" t="b">
        <f>IF(LOAN!F40=DATA!C23,DATA!F10,F26)</f>
        <v>0</v>
      </c>
      <c r="H17" s="37"/>
      <c r="I17" s="37"/>
    </row>
    <row r="18" spans="1:9" x14ac:dyDescent="0.25">
      <c r="A18" s="37"/>
      <c r="B18" s="37"/>
      <c r="C18" s="37">
        <v>12</v>
      </c>
      <c r="D18" s="37">
        <v>1</v>
      </c>
      <c r="E18" s="37"/>
      <c r="F18" s="37"/>
      <c r="G18" s="37"/>
      <c r="H18" s="37"/>
      <c r="I18" s="37"/>
    </row>
    <row r="19" spans="1:9" x14ac:dyDescent="0.25">
      <c r="A19" s="37"/>
      <c r="B19" s="37"/>
      <c r="C19" s="37">
        <v>24</v>
      </c>
      <c r="D19" s="37">
        <v>2</v>
      </c>
      <c r="E19" s="37"/>
      <c r="F19" s="37"/>
      <c r="G19" s="37"/>
      <c r="H19" s="37"/>
      <c r="I19" s="37"/>
    </row>
    <row r="20" spans="1:9" x14ac:dyDescent="0.25">
      <c r="A20" s="37"/>
      <c r="B20" s="37"/>
      <c r="C20" s="37">
        <v>36</v>
      </c>
      <c r="D20" s="37">
        <v>3</v>
      </c>
      <c r="E20" s="37"/>
      <c r="F20" s="37"/>
      <c r="G20" s="37"/>
      <c r="H20" s="37"/>
      <c r="I20" s="37"/>
    </row>
    <row r="21" spans="1:9" x14ac:dyDescent="0.25">
      <c r="A21" s="37"/>
      <c r="B21" s="37"/>
      <c r="C21" s="37">
        <v>48</v>
      </c>
      <c r="D21" s="37">
        <v>4</v>
      </c>
      <c r="E21" s="37"/>
      <c r="F21" s="37"/>
      <c r="G21" s="37"/>
      <c r="H21" s="37"/>
      <c r="I21" s="37"/>
    </row>
    <row r="22" spans="1:9" x14ac:dyDescent="0.25">
      <c r="A22" s="37"/>
      <c r="B22" s="37"/>
      <c r="C22" s="37">
        <v>60</v>
      </c>
      <c r="D22" s="37">
        <v>5</v>
      </c>
      <c r="E22" s="37"/>
      <c r="F22" s="37"/>
      <c r="G22" s="37"/>
      <c r="H22" s="37"/>
      <c r="I22" s="37"/>
    </row>
    <row r="23" spans="1:9" x14ac:dyDescent="0.25">
      <c r="A23" s="37"/>
      <c r="B23" s="37"/>
      <c r="C23" s="41" t="s">
        <v>12</v>
      </c>
      <c r="D23" s="37">
        <f>E10</f>
        <v>0</v>
      </c>
      <c r="E23" s="37"/>
      <c r="F23" s="37"/>
      <c r="G23" s="37"/>
      <c r="H23" s="37"/>
      <c r="I23" s="37"/>
    </row>
    <row r="24" spans="1:9" x14ac:dyDescent="0.25">
      <c r="A24" s="37"/>
      <c r="B24" s="37"/>
      <c r="C24" s="37"/>
      <c r="D24" s="37"/>
      <c r="E24" s="37"/>
      <c r="F24" s="37"/>
      <c r="G24" s="37"/>
      <c r="H24" s="37"/>
      <c r="I24" s="37"/>
    </row>
    <row r="25" spans="1:9" x14ac:dyDescent="0.25">
      <c r="A25" s="37"/>
      <c r="B25" s="37"/>
      <c r="C25" s="37"/>
      <c r="D25" s="37"/>
      <c r="E25" s="37"/>
      <c r="F25" s="37"/>
      <c r="G25" s="37"/>
      <c r="H25" s="37"/>
      <c r="I25" s="37"/>
    </row>
    <row r="26" spans="1:9" x14ac:dyDescent="0.25">
      <c r="A26" s="37"/>
      <c r="B26" s="37" t="s">
        <v>15</v>
      </c>
      <c r="C26" s="37"/>
      <c r="D26" s="37" t="b">
        <f>IF(LOAN!F38=DATA!C27,DATA!D27,IF(LOAN!F38=DATA!C28,DATA!D28,IF(LOAN!F38=DATA!C29,DATA!D29,IF(LOAN!F38=DATA!C30,DATA!D30,IF(LOAN!F38=DATA!C31,DATA!D31)))))</f>
        <v>0</v>
      </c>
      <c r="E26" s="37" t="b">
        <f>IF(LOAN!F38=DATA!C27,DATA!E27,IF(LOAN!F38=DATA!C28,DATA!E28,IF(LOAN!F38=DATA!C29,DATA!E29,IF(LOAN!F38=DATA!C30,DATA!E30,IF(LOAN!F38=DATA!C31,DATA!E31)))))</f>
        <v>0</v>
      </c>
      <c r="F26" s="37" t="b">
        <f>IF(LOAN!F38=DATA!C27,DATA!F27,IF(LOAN!F38=DATA!C28,DATA!F28,IF(LOAN!F38=DATA!C29,DATA!F29,IF(LOAN!F38=DATA!C30,DATA!F30,IF(LOAN!F38=DATA!C31,DATA!F31)))))</f>
        <v>0</v>
      </c>
      <c r="G26" s="37" t="b">
        <f>IF(LOAN!F38=DATA!C27,DATA!G27,IF(LOAN!F38=DATA!C28,DATA!G28,IF(LOAN!F38=DATA!C29,DATA!G29,IF(LOAN!F38=DATA!C30,DATA!G30,IF(LOAN!F38=DATA!C31,DATA!G31)))))</f>
        <v>0</v>
      </c>
      <c r="H26" s="37" t="b">
        <f>IF(LOAN!F38=DATA!C27,DATA!H27,IF(LOAN!F38=DATA!C28,DATA!H28,IF(LOAN!F38=DATA!C29,DATA!H29,IF(LOAN!F38=DATA!C30,DATA!H30,IF(LOAN!F38=DATA!C31,DATA!H31)))))</f>
        <v>0</v>
      </c>
      <c r="I26" s="37"/>
    </row>
    <row r="27" spans="1:9" x14ac:dyDescent="0.25">
      <c r="A27" s="37"/>
      <c r="B27" s="37"/>
      <c r="C27" s="41" t="s">
        <v>16</v>
      </c>
      <c r="D27" s="37">
        <v>12</v>
      </c>
      <c r="E27" s="37">
        <v>1</v>
      </c>
      <c r="F27" s="37">
        <f>$F$10/E27</f>
        <v>0</v>
      </c>
      <c r="G27" s="37">
        <f>IF(F10=F17,F17,($F$10-$F$17)/E27)</f>
        <v>0</v>
      </c>
      <c r="H27" s="37" t="b">
        <f>G17</f>
        <v>0</v>
      </c>
      <c r="I27" s="37"/>
    </row>
    <row r="28" spans="1:9" x14ac:dyDescent="0.25">
      <c r="A28" s="37"/>
      <c r="B28" s="37"/>
      <c r="C28" s="41" t="s">
        <v>17</v>
      </c>
      <c r="D28" s="37">
        <v>6</v>
      </c>
      <c r="E28" s="37">
        <v>2</v>
      </c>
      <c r="F28" s="37">
        <f>$F$10/E28</f>
        <v>0</v>
      </c>
      <c r="G28" s="37">
        <f>IF(F10=F17,F17/E28,($F$10-$F$17)/E28)</f>
        <v>0</v>
      </c>
      <c r="H28" s="37">
        <f>G17/E28</f>
        <v>0</v>
      </c>
      <c r="I28" s="37"/>
    </row>
    <row r="29" spans="1:9" x14ac:dyDescent="0.25">
      <c r="A29" s="37"/>
      <c r="B29" s="37"/>
      <c r="C29" s="41" t="s">
        <v>18</v>
      </c>
      <c r="D29" s="37">
        <v>4</v>
      </c>
      <c r="E29" s="37">
        <v>3</v>
      </c>
      <c r="F29" s="37">
        <f>$F$10/E29</f>
        <v>0</v>
      </c>
      <c r="G29" s="37">
        <f>IF(F10=F17,F17/E29,($F$10-$F$17)/E29)</f>
        <v>0</v>
      </c>
      <c r="H29" s="37">
        <f>G17/E29</f>
        <v>0</v>
      </c>
      <c r="I29" s="37"/>
    </row>
    <row r="30" spans="1:9" x14ac:dyDescent="0.25">
      <c r="A30" s="37"/>
      <c r="B30" s="37"/>
      <c r="C30" s="41" t="s">
        <v>19</v>
      </c>
      <c r="D30" s="37">
        <v>2</v>
      </c>
      <c r="E30" s="37">
        <v>6</v>
      </c>
      <c r="F30" s="37">
        <f>$F$10/E30</f>
        <v>0</v>
      </c>
      <c r="G30" s="37">
        <f>IF(F10=F17,F17/E30,($F$10-$F$17)/E30)</f>
        <v>0</v>
      </c>
      <c r="H30" s="37">
        <f>G17/E30</f>
        <v>0</v>
      </c>
      <c r="I30" s="37"/>
    </row>
    <row r="31" spans="1:9" x14ac:dyDescent="0.25">
      <c r="A31" s="37"/>
      <c r="B31" s="37"/>
      <c r="C31" s="41" t="s">
        <v>20</v>
      </c>
      <c r="D31" s="37">
        <v>1</v>
      </c>
      <c r="E31" s="37">
        <v>12</v>
      </c>
      <c r="F31" s="37">
        <f>$F$10/E31</f>
        <v>0</v>
      </c>
      <c r="G31" s="37">
        <f>IF(F10=F17,F17/E31,($F$10-$F$17)/E31)</f>
        <v>0</v>
      </c>
      <c r="H31" s="37">
        <f>G17/E31</f>
        <v>0</v>
      </c>
      <c r="I31" s="37"/>
    </row>
    <row r="32" spans="1:9" x14ac:dyDescent="0.25">
      <c r="A32" s="37"/>
      <c r="B32" s="37"/>
      <c r="C32" s="37"/>
      <c r="D32" s="37"/>
      <c r="E32" s="37"/>
      <c r="F32" s="37"/>
      <c r="G32" s="37"/>
      <c r="H32" s="37"/>
      <c r="I32" s="3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LOAN</vt:lpstr>
      <vt:lpstr>DATA</vt:lpstr>
      <vt:lpstr>LOAN!Area_stampa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cp:lastPrinted>2023-07-17T02:48:16Z</cp:lastPrinted>
  <dcterms:created xsi:type="dcterms:W3CDTF">2023-07-16T15:14:44Z</dcterms:created>
  <dcterms:modified xsi:type="dcterms:W3CDTF">2023-07-17T04:09:05Z</dcterms:modified>
</cp:coreProperties>
</file>